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\Documents\Manualer\Manualer-gamle\218100-Fysisk_Pendul\"/>
    </mc:Choice>
  </mc:AlternateContent>
  <bookViews>
    <workbookView xWindow="120" yWindow="15" windowWidth="21915" windowHeight="12270"/>
  </bookViews>
  <sheets>
    <sheet name="Indhold" sheetId="7" r:id="rId1"/>
    <sheet name="Fysisk pendul" sheetId="3" r:id="rId2"/>
    <sheet name="Bessel-pendul" sheetId="5" r:id="rId3"/>
    <sheet name="Geoide-formlen" sheetId="6" r:id="rId4"/>
  </sheets>
  <calcPr calcId="152511"/>
</workbook>
</file>

<file path=xl/calcChain.xml><?xml version="1.0" encoding="utf-8"?>
<calcChain xmlns="http://schemas.openxmlformats.org/spreadsheetml/2006/main">
  <c r="H22" i="5" l="1"/>
  <c r="H20" i="3"/>
  <c r="H15" i="3"/>
  <c r="M16" i="3" l="1"/>
  <c r="H27" i="3" s="1"/>
  <c r="M24" i="3"/>
  <c r="M23" i="3"/>
  <c r="M22" i="3"/>
  <c r="M21" i="3"/>
  <c r="H22" i="3"/>
  <c r="H21" i="3"/>
  <c r="C20" i="3"/>
  <c r="C17" i="3"/>
  <c r="C18" i="3" s="1"/>
  <c r="M15" i="3"/>
  <c r="H26" i="3" s="1"/>
  <c r="H17" i="3"/>
  <c r="C15" i="3"/>
  <c r="M28" i="5"/>
  <c r="M27" i="5"/>
  <c r="M26" i="5"/>
  <c r="H24" i="5"/>
  <c r="H23" i="5"/>
  <c r="H17" i="5"/>
  <c r="H20" i="5" s="1"/>
  <c r="C19" i="5"/>
  <c r="C20" i="5" s="1"/>
  <c r="C22" i="5"/>
  <c r="C17" i="5"/>
  <c r="C22" i="3" l="1"/>
  <c r="C23" i="3" s="1"/>
  <c r="C27" i="3" s="1"/>
  <c r="C32" i="3" s="1"/>
  <c r="C33" i="3" s="1"/>
  <c r="M26" i="3"/>
  <c r="M28" i="3" s="1"/>
  <c r="H25" i="3"/>
  <c r="C25" i="3"/>
  <c r="H24" i="3"/>
  <c r="H18" i="3"/>
  <c r="C26" i="3"/>
  <c r="C30" i="3" s="1"/>
  <c r="C24" i="5"/>
  <c r="C25" i="5" s="1"/>
  <c r="C27" i="5" s="1"/>
  <c r="C31" i="5" s="1"/>
  <c r="H19" i="5"/>
  <c r="C20" i="6"/>
  <c r="C21" i="6" s="1"/>
  <c r="C8" i="6" s="1"/>
  <c r="M30" i="5"/>
  <c r="M29" i="5"/>
  <c r="M22" i="5"/>
  <c r="H34" i="5" s="1"/>
  <c r="M21" i="5"/>
  <c r="H33" i="5" s="1"/>
  <c r="M18" i="5"/>
  <c r="H30" i="5" s="1"/>
  <c r="M17" i="5"/>
  <c r="H29" i="5" s="1"/>
  <c r="M30" i="3" l="1"/>
  <c r="C29" i="3"/>
  <c r="C31" i="3" s="1"/>
  <c r="C35" i="3"/>
  <c r="C38" i="3" s="1"/>
  <c r="H38" i="3" s="1"/>
  <c r="M31" i="5"/>
  <c r="C28" i="5"/>
  <c r="C32" i="5" s="1"/>
  <c r="C33" i="5" s="1"/>
  <c r="C29" i="5"/>
  <c r="C34" i="5" s="1"/>
  <c r="C35" i="5" s="1"/>
  <c r="M24" i="5"/>
  <c r="H36" i="5" s="1"/>
  <c r="M20" i="5"/>
  <c r="H32" i="5" s="1"/>
  <c r="M19" i="5"/>
  <c r="H31" i="5" s="1"/>
  <c r="M23" i="5"/>
  <c r="H35" i="5" s="1"/>
  <c r="M38" i="3" l="1"/>
  <c r="C37" i="5"/>
  <c r="C41" i="5" s="1"/>
  <c r="M33" i="5"/>
  <c r="M35" i="5" s="1"/>
  <c r="H27" i="5"/>
  <c r="H25" i="5"/>
  <c r="H26" i="5"/>
  <c r="H28" i="5"/>
  <c r="H40" i="5" l="1"/>
  <c r="M40" i="5" s="1"/>
  <c r="M36" i="5"/>
  <c r="H41" i="5"/>
  <c r="M41" i="5" l="1"/>
</calcChain>
</file>

<file path=xl/sharedStrings.xml><?xml version="1.0" encoding="utf-8"?>
<sst xmlns="http://schemas.openxmlformats.org/spreadsheetml/2006/main" count="463" uniqueCount="247">
  <si>
    <t>Masse af stang</t>
  </si>
  <si>
    <t>Ms</t>
  </si>
  <si>
    <t>kg</t>
  </si>
  <si>
    <t>m</t>
  </si>
  <si>
    <t>mA</t>
  </si>
  <si>
    <t>mB</t>
  </si>
  <si>
    <t>Store lodder til Center</t>
  </si>
  <si>
    <t>c</t>
  </si>
  <si>
    <t>mJ</t>
  </si>
  <si>
    <t>Justeringslodder til Center</t>
  </si>
  <si>
    <t>x</t>
  </si>
  <si>
    <t>Ophæng O til Center</t>
  </si>
  <si>
    <t>Is</t>
  </si>
  <si>
    <t>kg m^2</t>
  </si>
  <si>
    <t>Inertimoment mA ift. O1</t>
  </si>
  <si>
    <t>IA1</t>
  </si>
  <si>
    <t>Inertimoment mA ift. eget centrum</t>
  </si>
  <si>
    <t>rL</t>
  </si>
  <si>
    <t>Inertimoment mB ift. eget centrum</t>
  </si>
  <si>
    <t>IB0</t>
  </si>
  <si>
    <t>IA0</t>
  </si>
  <si>
    <t>IB1</t>
  </si>
  <si>
    <t>Inertimoment mB ift. O1</t>
  </si>
  <si>
    <t>Inertimoment mA ift. O2</t>
  </si>
  <si>
    <t>Inertimoment mB ift. O2</t>
  </si>
  <si>
    <t>IA2</t>
  </si>
  <si>
    <t>IB2</t>
  </si>
  <si>
    <t>Masse af stort lod A (nær O1)</t>
  </si>
  <si>
    <t>Masse af stort lod B (nær O2)</t>
  </si>
  <si>
    <t>Ophæng O1 til lod A</t>
  </si>
  <si>
    <t>Ophæng O1 til lod B</t>
  </si>
  <si>
    <t>Ophæng O2 til lod A</t>
  </si>
  <si>
    <t>Ophæng O2 til lod B</t>
  </si>
  <si>
    <t>Ophæng O1 til lod j1</t>
  </si>
  <si>
    <t>Ophæng O1 til lod j2</t>
  </si>
  <si>
    <t>Ophæng O2 til lod j1</t>
  </si>
  <si>
    <t>Ophæng O2 til lod j2</t>
  </si>
  <si>
    <t>xA1</t>
  </si>
  <si>
    <t>xL</t>
  </si>
  <si>
    <t>xB1</t>
  </si>
  <si>
    <t>xA2</t>
  </si>
  <si>
    <t>xB2</t>
  </si>
  <si>
    <t>x11</t>
  </si>
  <si>
    <t>x21</t>
  </si>
  <si>
    <t>x12</t>
  </si>
  <si>
    <t>x22</t>
  </si>
  <si>
    <t>Inertimoment j1 ift. O1</t>
  </si>
  <si>
    <t>Inertimoment j2 ift. O1</t>
  </si>
  <si>
    <t>Inertimoment j1 ift. O2</t>
  </si>
  <si>
    <t>Inertimoment j2 ift. O2</t>
  </si>
  <si>
    <t>Samlet inertimoment om O1</t>
  </si>
  <si>
    <t>I1</t>
  </si>
  <si>
    <t>Inertimoment stang ift. O1 el. O2</t>
  </si>
  <si>
    <t>Samlet inertimoment om O2</t>
  </si>
  <si>
    <t>I2</t>
  </si>
  <si>
    <t>xG</t>
  </si>
  <si>
    <t>Massemidtpunkt (pos. mod A)</t>
  </si>
  <si>
    <t>Svingningstid om O1</t>
  </si>
  <si>
    <t>Svingningstid om O2</t>
  </si>
  <si>
    <t>T1</t>
  </si>
  <si>
    <t>T2</t>
  </si>
  <si>
    <t>Tyngdeacceleration (tabel)</t>
  </si>
  <si>
    <t>g</t>
  </si>
  <si>
    <t>m s^-2</t>
  </si>
  <si>
    <t>s</t>
  </si>
  <si>
    <t>Fysisk pendul</t>
  </si>
  <si>
    <t xml:space="preserve">Længde af rektangulært stykke </t>
  </si>
  <si>
    <t>LR</t>
  </si>
  <si>
    <t>Bredden af stang</t>
  </si>
  <si>
    <t>B</t>
  </si>
  <si>
    <t>Radius af halvcirkulære ender</t>
  </si>
  <si>
    <t>rHC</t>
  </si>
  <si>
    <t>Is0c</t>
  </si>
  <si>
    <t>Massefylde af stang</t>
  </si>
  <si>
    <t>kg / m^3</t>
  </si>
  <si>
    <t>mR</t>
  </si>
  <si>
    <t>Tykkelse af stang</t>
  </si>
  <si>
    <t>mHC</t>
  </si>
  <si>
    <t>Kantlængde af huller</t>
  </si>
  <si>
    <t>d</t>
  </si>
  <si>
    <t>mH</t>
  </si>
  <si>
    <t>Inertimoment af hul om eget center</t>
  </si>
  <si>
    <t>Samlet inertimoment af huller</t>
  </si>
  <si>
    <t>Afstand mellem huller</t>
  </si>
  <si>
    <t>dxH</t>
  </si>
  <si>
    <t>Stangens samlede masse</t>
  </si>
  <si>
    <t>Mf</t>
  </si>
  <si>
    <t>Inertimoment boltsæt A ift. O1</t>
  </si>
  <si>
    <t>Inertimoment boltsæt B ift. O1</t>
  </si>
  <si>
    <t>Inertimoment boltsæt A ift. O2</t>
  </si>
  <si>
    <t>Inertimoment boltsæt B ift. O2</t>
  </si>
  <si>
    <t>IbA1</t>
  </si>
  <si>
    <t>IbA2</t>
  </si>
  <si>
    <t>IbB2</t>
  </si>
  <si>
    <t>IbB1</t>
  </si>
  <si>
    <t>Massefylde, A</t>
  </si>
  <si>
    <t>Massefylde, B</t>
  </si>
  <si>
    <r>
      <rPr>
        <sz val="11"/>
        <color theme="1"/>
        <rFont val="Arial"/>
        <family val="2"/>
      </rPr>
      <t>ρ</t>
    </r>
    <r>
      <rPr>
        <sz val="11"/>
        <color theme="1"/>
        <rFont val="Calibri"/>
        <family val="2"/>
      </rPr>
      <t>B</t>
    </r>
  </si>
  <si>
    <r>
      <rPr>
        <sz val="11"/>
        <color theme="1"/>
        <rFont val="Arial"/>
        <family val="2"/>
      </rPr>
      <t>ρ</t>
    </r>
    <r>
      <rPr>
        <sz val="11"/>
        <color theme="1"/>
        <rFont val="Calibri"/>
        <family val="2"/>
      </rPr>
      <t>A</t>
    </r>
  </si>
  <si>
    <t>TL</t>
  </si>
  <si>
    <t>Masse af halvcirkulære ender (begge)</t>
  </si>
  <si>
    <t>Masse af justeringslodder (pr. stk.)</t>
  </si>
  <si>
    <t>Vægt af bolt+møtrik (1 sæt)</t>
  </si>
  <si>
    <t>Total masse</t>
  </si>
  <si>
    <t>mTot</t>
  </si>
  <si>
    <t>Afstand O1 til G</t>
  </si>
  <si>
    <t>h1</t>
  </si>
  <si>
    <t>Afstand O2 til G</t>
  </si>
  <si>
    <t>h2</t>
  </si>
  <si>
    <t>Korrektionsfaktor f. affasning</t>
  </si>
  <si>
    <t xml:space="preserve">φ = </t>
  </si>
  <si>
    <t xml:space="preserve">h = </t>
  </si>
  <si>
    <t>˚</t>
  </si>
  <si>
    <t xml:space="preserve">a0 = </t>
  </si>
  <si>
    <t xml:space="preserve">a2 = </t>
  </si>
  <si>
    <r>
      <rPr>
        <sz val="11"/>
        <color theme="1"/>
        <rFont val="Arial"/>
        <family val="2"/>
      </rPr>
      <t>ρ</t>
    </r>
    <r>
      <rPr>
        <sz val="11"/>
        <color theme="1"/>
        <rFont val="Calibri"/>
        <family val="2"/>
      </rPr>
      <t xml:space="preserve"> = 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</si>
  <si>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</si>
  <si>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a4 = </t>
  </si>
  <si>
    <t xml:space="preserve">cFA = </t>
  </si>
  <si>
    <t xml:space="preserve">cB1 = </t>
  </si>
  <si>
    <t xml:space="preserve">cB2 = </t>
  </si>
  <si>
    <t xml:space="preserve">cTot = </t>
  </si>
  <si>
    <t xml:space="preserve">g = 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</si>
  <si>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</si>
  <si>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</t>
    </r>
    <r>
      <rPr>
        <vertAlign val="superscript"/>
        <sz val="11"/>
        <color theme="1"/>
        <rFont val="Calibri"/>
        <family val="2"/>
        <scheme val="minor"/>
      </rPr>
      <t>-2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</si>
  <si>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kg</t>
    </r>
    <r>
      <rPr>
        <vertAlign val="superscript"/>
        <sz val="11"/>
        <color theme="1"/>
        <rFont val="Calibri"/>
        <family val="2"/>
        <scheme val="minor"/>
      </rPr>
      <t>-1</t>
    </r>
  </si>
  <si>
    <t>Position</t>
  </si>
  <si>
    <t>Breddegrad</t>
  </si>
  <si>
    <t>Højde over havet</t>
  </si>
  <si>
    <t>Resultat</t>
  </si>
  <si>
    <t>Tyngdeacceleration</t>
  </si>
  <si>
    <t>Konstanter</t>
  </si>
  <si>
    <t>Forventet tyngdeacceleration</t>
  </si>
  <si>
    <t>Masse af (massivt) rektangulært stykke</t>
  </si>
  <si>
    <t>m^3</t>
  </si>
  <si>
    <t>VR</t>
  </si>
  <si>
    <t>Rumfang af (massivt) rektangulært stykke</t>
  </si>
  <si>
    <t>Masse af hul</t>
  </si>
  <si>
    <t>Rumfang af halvcirkulære ender (begge)</t>
  </si>
  <si>
    <t>VHC</t>
  </si>
  <si>
    <t>VHtot</t>
  </si>
  <si>
    <t>Samlet rumfang af huller</t>
  </si>
  <si>
    <t>Samlet rumfang af stang med huller</t>
  </si>
  <si>
    <t>VsTot</t>
  </si>
  <si>
    <t>ρs</t>
  </si>
  <si>
    <t>Ts</t>
  </si>
  <si>
    <t>IH0</t>
  </si>
  <si>
    <t>IHTot</t>
  </si>
  <si>
    <t>Inertimoment rekt. stk. (massiv) om center</t>
  </si>
  <si>
    <t>Rumfang af et stort lod</t>
  </si>
  <si>
    <t>VL</t>
  </si>
  <si>
    <t>Tykkelse af hver skive i stort lod</t>
  </si>
  <si>
    <t>Radius stort lod</t>
  </si>
  <si>
    <t>Stangens samlede inertimoment om center</t>
  </si>
  <si>
    <t>Hele pendulet:</t>
  </si>
  <si>
    <t>Stangen alene:</t>
  </si>
  <si>
    <t>Bessel-pendulet</t>
  </si>
  <si>
    <t xml:space="preserve">(Ophæng O1 og O2 er placeret </t>
  </si>
  <si>
    <t>symmetrisk om centeret af stangen.)</t>
  </si>
  <si>
    <t>Stangens egenskaber</t>
  </si>
  <si>
    <t>Loddernes egenskaber</t>
  </si>
  <si>
    <t>Positioner</t>
  </si>
  <si>
    <t>Teoretiske svingningstider</t>
  </si>
  <si>
    <t>Ophæng O til Center (med fortegn)</t>
  </si>
  <si>
    <t>Inertimoment stang ift. O</t>
  </si>
  <si>
    <t>Samlet inertimoment om O</t>
  </si>
  <si>
    <t>Inertimoment mA ift. O</t>
  </si>
  <si>
    <t>Inertimoment mB ift. O</t>
  </si>
  <si>
    <t>Inertimoment boltsæt A ift. O</t>
  </si>
  <si>
    <t>Inertimoment boltsæt B ift. O</t>
  </si>
  <si>
    <t>Ophæng O til lod A</t>
  </si>
  <si>
    <t>Ophæng O til lod B</t>
  </si>
  <si>
    <t>Middeldensitet, jordlag</t>
  </si>
  <si>
    <t>Free air-korrektion</t>
  </si>
  <si>
    <t>Bouguer-korrektion</t>
  </si>
  <si>
    <t>Bouguer-korrektionsfaktor</t>
  </si>
  <si>
    <t>Samlet korrektion</t>
  </si>
  <si>
    <t>Konstantled</t>
  </si>
  <si>
    <r>
      <t>Koefficient til  sin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Arial"/>
        <family val="2"/>
      </rPr>
      <t>φ</t>
    </r>
    <r>
      <rPr>
        <sz val="11"/>
        <color theme="1"/>
        <rFont val="Calibri"/>
        <family val="2"/>
      </rPr>
      <t>)</t>
    </r>
  </si>
  <si>
    <r>
      <t>Koefficient til  sin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Arial"/>
        <family val="2"/>
      </rPr>
      <t>φ</t>
    </r>
    <r>
      <rPr>
        <sz val="11"/>
        <color theme="1"/>
        <rFont val="Calibri"/>
        <family val="2"/>
      </rPr>
      <t>)</t>
    </r>
  </si>
  <si>
    <t>Lod A til Center</t>
  </si>
  <si>
    <t>xA</t>
  </si>
  <si>
    <t>xB</t>
  </si>
  <si>
    <t>Lod B til Center (med fortegn)</t>
  </si>
  <si>
    <t>Masse af stort lod A (top)</t>
  </si>
  <si>
    <t>Masse af stort lod B (bund)</t>
  </si>
  <si>
    <t>Svingningstid om O</t>
  </si>
  <si>
    <t>Afstand O til G</t>
  </si>
  <si>
    <t>h</t>
  </si>
  <si>
    <t>Ij11</t>
  </si>
  <si>
    <t>Ij21</t>
  </si>
  <si>
    <t>Ij12</t>
  </si>
  <si>
    <t>Ij22</t>
  </si>
  <si>
    <t>Masse af 1 justeringslod (bolt+møtrik)</t>
  </si>
  <si>
    <t>Vægt af bolt+møtrik+2 skiver (1 sæt)</t>
  </si>
  <si>
    <t>Samlet rumfang af stang fraregnet huller</t>
  </si>
  <si>
    <t>IR0c</t>
  </si>
  <si>
    <t>IE0c</t>
  </si>
  <si>
    <t>rE</t>
  </si>
  <si>
    <t>VE</t>
  </si>
  <si>
    <t>Inertimoment ender om center (begge)</t>
  </si>
  <si>
    <t>Inertimoment stang (massiv) om center</t>
  </si>
  <si>
    <t>Masse af to store skiver i lod A (Top)</t>
  </si>
  <si>
    <t>Masse af to store skiver i lod B (Bund)</t>
  </si>
  <si>
    <t>Radius stor skive</t>
  </si>
  <si>
    <t>Radius af hul i stor skive</t>
  </si>
  <si>
    <t>mSA</t>
  </si>
  <si>
    <t>mSB</t>
  </si>
  <si>
    <t>TS</t>
  </si>
  <si>
    <t>rS</t>
  </si>
  <si>
    <t>rSh</t>
  </si>
  <si>
    <t>Rumfang af to store skiver i et lod</t>
  </si>
  <si>
    <t>Positioner under stangens centerlinje</t>
  </si>
  <si>
    <t>regnes som negative.</t>
  </si>
  <si>
    <t>Regneark til 218100 Fysisk pendul / Bessel-pendul</t>
  </si>
  <si>
    <t>Dette regneark rummer tre faneblade.</t>
  </si>
  <si>
    <t>Generelt gælder det, at gule felter er beregnet til brugerens egne (målte) data.</t>
  </si>
  <si>
    <t>Grønne felter viser væsentlige resultater.</t>
  </si>
  <si>
    <t>Input</t>
  </si>
  <si>
    <t>Output</t>
  </si>
  <si>
    <t>Ud fra måledata bestemmes inertimomentet af stangen alene og for hele pendulet.</t>
  </si>
  <si>
    <t>Desuden bestemmes massemidtpunktets position.</t>
  </si>
  <si>
    <t>Ud fra en tabelværdi for tyngdeaccelerationen beregnes en teoretisk svingningstid.</t>
  </si>
  <si>
    <t>Der anvendes en korrektionsfaktor for inertimomentet af de store skiver i lodderne.</t>
  </si>
  <si>
    <t>radius som skiven er fjernet. (Fordelingen er reelt to ringe med trekantet tværsnit.)</t>
  </si>
  <si>
    <t>Boltsættene er regnet som punktformede masser.</t>
  </si>
  <si>
    <t>Bessel-pendul</t>
  </si>
  <si>
    <t>Der regnes på hvert ophæng for sig.</t>
  </si>
  <si>
    <t>Boltsættene omfatter nu også to spændeskiver.</t>
  </si>
  <si>
    <t>Der indgår to justeringslodder. De regnes som punktformede.</t>
  </si>
  <si>
    <t>Behandlingen er helt som for det fysiske pendul, med følgende ændringer:</t>
  </si>
  <si>
    <t>Placeringen af store lodder og justeringslodder er symmetrisk om stangens midtpunkt.</t>
  </si>
  <si>
    <t>som indgår her. Dette faneblad indgår kun som baggrundsmateriale.</t>
  </si>
  <si>
    <t>Geoide-formlen</t>
  </si>
  <si>
    <t>Anvendelsen er simpel:</t>
  </si>
  <si>
    <t>Indtast geografisk breddegrad og højde over havet, og aflæs tyngdeaccelerationen.</t>
  </si>
  <si>
    <t>Der er to forbehold:</t>
  </si>
  <si>
    <t>er sat til en "gennemsnitlig" værdi, som evt. skal korrigeres.</t>
  </si>
  <si>
    <t>2 - Middeldensiteten af det jordlag, som ligger mellem havniveau og aktuel position,</t>
  </si>
  <si>
    <t>1 - Det antages, at der ikke optræder tyngdeanomalier i jordskorpen fra havniveau og ned.</t>
  </si>
  <si>
    <r>
      <t xml:space="preserve">I den praktiske databehandling for eksperimentet er der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behov for de beregninger,</t>
    </r>
  </si>
  <si>
    <t>Affaset kant</t>
  </si>
  <si>
    <t>δ</t>
  </si>
  <si>
    <t>K</t>
  </si>
  <si>
    <r>
      <t xml:space="preserve">Den er beregnet ud fra en antagelse om, at en tynd ring med tværsnit </t>
    </r>
    <r>
      <rPr>
        <sz val="11"/>
        <color theme="1"/>
        <rFont val="Times New Roman"/>
        <family val="1"/>
      </rPr>
      <t>δ</t>
    </r>
    <r>
      <rPr>
        <sz val="11"/>
        <color theme="1"/>
        <rFont val="Arial"/>
        <family val="2"/>
      </rPr>
      <t>x</t>
    </r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  <scheme val="minor"/>
      </rPr>
      <t xml:space="preserve"> mm og samme</t>
    </r>
  </si>
  <si>
    <t>Pendulets totale masse</t>
  </si>
  <si>
    <t>Massemidtpunkt (pos. opad)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</si>
</sst>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"/>
    <numFmt numFmtId="165" formatCode="0.0000E+00"/>
    <numFmt numFmtId="166" formatCode="0.000000"/>
    <numFmt numFmtId="167" formatCode="#,##0.0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2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/>
    <xf numFmtId="10" fontId="0" fillId="0" borderId="0" xfId="0" applyNumberForma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5" fontId="0" fillId="0" borderId="0" xfId="0" applyNumberFormat="1"/>
    <xf numFmtId="0" fontId="0" fillId="0" borderId="7" xfId="0" applyBorder="1"/>
    <xf numFmtId="2" fontId="0" fillId="0" borderId="0" xfId="0" applyNumberFormat="1"/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" xfId="0" applyFont="1" applyFill="1" applyBorder="1"/>
    <xf numFmtId="0" fontId="0" fillId="0" borderId="11" xfId="0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7" fontId="0" fillId="2" borderId="8" xfId="0" applyNumberFormat="1" applyFill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0" fontId="0" fillId="0" borderId="0" xfId="0" applyFont="1"/>
    <xf numFmtId="164" fontId="0" fillId="0" borderId="0" xfId="0" applyNumberFormat="1" applyFont="1"/>
    <xf numFmtId="0" fontId="0" fillId="0" borderId="12" xfId="0" applyBorder="1"/>
    <xf numFmtId="0" fontId="0" fillId="0" borderId="13" xfId="0" applyBorder="1"/>
    <xf numFmtId="0" fontId="0" fillId="0" borderId="6" xfId="0" applyBorder="1"/>
    <xf numFmtId="164" fontId="3" fillId="3" borderId="2" xfId="0" applyNumberFormat="1" applyFont="1" applyFill="1" applyBorder="1"/>
    <xf numFmtId="0" fontId="3" fillId="3" borderId="2" xfId="0" applyFont="1" applyFill="1" applyBorder="1"/>
    <xf numFmtId="164" fontId="3" fillId="3" borderId="8" xfId="0" applyNumberFormat="1" applyFont="1" applyFill="1" applyBorder="1"/>
    <xf numFmtId="164" fontId="3" fillId="3" borderId="10" xfId="0" applyNumberFormat="1" applyFont="1" applyFill="1" applyBorder="1"/>
    <xf numFmtId="0" fontId="3" fillId="3" borderId="8" xfId="0" applyFont="1" applyFill="1" applyBorder="1"/>
    <xf numFmtId="0" fontId="10" fillId="0" borderId="0" xfId="0" applyFont="1"/>
    <xf numFmtId="166" fontId="3" fillId="3" borderId="2" xfId="0" applyNumberFormat="1" applyFont="1" applyFill="1" applyBorder="1"/>
    <xf numFmtId="0" fontId="8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B1" sqref="B1"/>
    </sheetView>
  </sheetViews>
  <sheetFormatPr defaultRowHeight="15" x14ac:dyDescent="0.25"/>
  <cols>
    <col min="1" max="1" width="82.28515625" customWidth="1"/>
  </cols>
  <sheetData>
    <row r="1" spans="1:2" ht="18.75" x14ac:dyDescent="0.3">
      <c r="A1" s="44" t="s">
        <v>214</v>
      </c>
    </row>
    <row r="3" spans="1:2" x14ac:dyDescent="0.25">
      <c r="A3" t="s">
        <v>215</v>
      </c>
    </row>
    <row r="4" spans="1:2" x14ac:dyDescent="0.25">
      <c r="A4" t="s">
        <v>216</v>
      </c>
      <c r="B4" s="16" t="s">
        <v>218</v>
      </c>
    </row>
    <row r="5" spans="1:2" x14ac:dyDescent="0.25">
      <c r="A5" t="s">
        <v>217</v>
      </c>
      <c r="B5" s="39" t="s">
        <v>219</v>
      </c>
    </row>
    <row r="8" spans="1:2" ht="15.75" x14ac:dyDescent="0.25">
      <c r="A8" s="46" t="s">
        <v>65</v>
      </c>
    </row>
    <row r="9" spans="1:2" x14ac:dyDescent="0.25">
      <c r="A9" t="s">
        <v>220</v>
      </c>
    </row>
    <row r="10" spans="1:2" x14ac:dyDescent="0.25">
      <c r="A10" t="s">
        <v>221</v>
      </c>
    </row>
    <row r="11" spans="1:2" x14ac:dyDescent="0.25">
      <c r="A11" t="s">
        <v>222</v>
      </c>
    </row>
    <row r="13" spans="1:2" x14ac:dyDescent="0.25">
      <c r="A13" t="s">
        <v>223</v>
      </c>
    </row>
    <row r="14" spans="1:2" x14ac:dyDescent="0.25">
      <c r="A14" t="s">
        <v>244</v>
      </c>
    </row>
    <row r="15" spans="1:2" x14ac:dyDescent="0.25">
      <c r="A15" t="s">
        <v>224</v>
      </c>
    </row>
    <row r="17" spans="1:1" x14ac:dyDescent="0.25">
      <c r="A17" t="s">
        <v>225</v>
      </c>
    </row>
    <row r="20" spans="1:1" ht="15.75" x14ac:dyDescent="0.25">
      <c r="A20" s="46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229</v>
      </c>
    </row>
    <row r="24" spans="1:1" x14ac:dyDescent="0.25">
      <c r="A24" t="s">
        <v>228</v>
      </c>
    </row>
    <row r="25" spans="1:1" x14ac:dyDescent="0.25">
      <c r="A25" t="s">
        <v>227</v>
      </c>
    </row>
    <row r="27" spans="1:1" x14ac:dyDescent="0.25">
      <c r="A27" t="s">
        <v>240</v>
      </c>
    </row>
    <row r="28" spans="1:1" x14ac:dyDescent="0.25">
      <c r="A28" t="s">
        <v>232</v>
      </c>
    </row>
    <row r="31" spans="1:1" ht="15.75" x14ac:dyDescent="0.25">
      <c r="A31" s="46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5" spans="1:1" x14ac:dyDescent="0.25">
      <c r="A35" t="s">
        <v>236</v>
      </c>
    </row>
    <row r="36" spans="1:1" x14ac:dyDescent="0.25">
      <c r="A36" t="s">
        <v>239</v>
      </c>
    </row>
    <row r="37" spans="1:1" x14ac:dyDescent="0.25">
      <c r="A37" t="s">
        <v>238</v>
      </c>
    </row>
    <row r="38" spans="1:1" x14ac:dyDescent="0.25">
      <c r="A38" t="s">
        <v>237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B1" sqref="B1"/>
    </sheetView>
  </sheetViews>
  <sheetFormatPr defaultRowHeight="15" x14ac:dyDescent="0.25"/>
  <cols>
    <col min="1" max="1" width="39.42578125" customWidth="1"/>
    <col min="3" max="3" width="13" customWidth="1"/>
    <col min="5" max="5" width="3.140625" customWidth="1"/>
    <col min="6" max="6" width="36.42578125" customWidth="1"/>
    <col min="8" max="8" width="12.28515625" customWidth="1"/>
    <col min="10" max="10" width="3" customWidth="1"/>
    <col min="11" max="11" width="33.5703125" customWidth="1"/>
    <col min="13" max="13" width="10.7109375" customWidth="1"/>
  </cols>
  <sheetData>
    <row r="1" spans="1:14" ht="18.75" x14ac:dyDescent="0.3">
      <c r="A1" s="2" t="s">
        <v>65</v>
      </c>
    </row>
    <row r="2" spans="1:14" ht="18.75" x14ac:dyDescent="0.3">
      <c r="A2" s="2"/>
    </row>
    <row r="3" spans="1:14" x14ac:dyDescent="0.25">
      <c r="A3" s="48" t="s">
        <v>159</v>
      </c>
      <c r="B3" s="48"/>
      <c r="C3" s="48"/>
      <c r="D3" s="48"/>
      <c r="F3" s="48" t="s">
        <v>160</v>
      </c>
      <c r="G3" s="48"/>
      <c r="H3" s="48"/>
      <c r="I3" s="48"/>
      <c r="K3" s="48" t="s">
        <v>161</v>
      </c>
      <c r="L3" s="48"/>
      <c r="M3" s="48"/>
      <c r="N3" s="48"/>
    </row>
    <row r="4" spans="1:14" x14ac:dyDescent="0.25">
      <c r="A4" t="s">
        <v>0</v>
      </c>
      <c r="B4" t="s">
        <v>1</v>
      </c>
      <c r="C4" s="16">
        <v>0.22620000000000001</v>
      </c>
      <c r="D4" t="s">
        <v>2</v>
      </c>
      <c r="F4" t="s">
        <v>202</v>
      </c>
      <c r="G4" t="s">
        <v>206</v>
      </c>
      <c r="H4" s="17">
        <v>0.21440000000000001</v>
      </c>
      <c r="I4" t="s">
        <v>2</v>
      </c>
      <c r="K4" t="s">
        <v>163</v>
      </c>
      <c r="L4" t="s">
        <v>10</v>
      </c>
      <c r="M4" s="20">
        <v>0.20849999999999999</v>
      </c>
      <c r="N4" t="s">
        <v>3</v>
      </c>
    </row>
    <row r="5" spans="1:14" x14ac:dyDescent="0.25">
      <c r="F5" t="s">
        <v>203</v>
      </c>
      <c r="G5" t="s">
        <v>207</v>
      </c>
      <c r="H5" s="19">
        <v>7.3289999999999994E-2</v>
      </c>
      <c r="I5" t="s">
        <v>2</v>
      </c>
    </row>
    <row r="6" spans="1:14" x14ac:dyDescent="0.25">
      <c r="A6" t="s">
        <v>76</v>
      </c>
      <c r="B6" s="3" t="s">
        <v>145</v>
      </c>
      <c r="C6" s="17">
        <v>2E-3</v>
      </c>
      <c r="D6" t="s">
        <v>3</v>
      </c>
      <c r="K6" t="s">
        <v>180</v>
      </c>
      <c r="L6" t="s">
        <v>181</v>
      </c>
      <c r="M6" s="17">
        <v>0.25</v>
      </c>
      <c r="N6" t="s">
        <v>3</v>
      </c>
    </row>
    <row r="7" spans="1:14" x14ac:dyDescent="0.25">
      <c r="A7" t="s">
        <v>68</v>
      </c>
      <c r="B7" t="s">
        <v>69</v>
      </c>
      <c r="C7" s="18">
        <v>0.03</v>
      </c>
      <c r="D7" t="s">
        <v>3</v>
      </c>
      <c r="F7" t="s">
        <v>151</v>
      </c>
      <c r="G7" t="s">
        <v>208</v>
      </c>
      <c r="H7" s="17">
        <v>5.0000000000000001E-3</v>
      </c>
      <c r="I7" t="s">
        <v>3</v>
      </c>
      <c r="K7" t="s">
        <v>183</v>
      </c>
      <c r="L7" t="s">
        <v>182</v>
      </c>
      <c r="M7" s="19">
        <v>-0.25</v>
      </c>
      <c r="N7" t="s">
        <v>3</v>
      </c>
    </row>
    <row r="8" spans="1:14" x14ac:dyDescent="0.25">
      <c r="A8" t="s">
        <v>66</v>
      </c>
      <c r="B8" t="s">
        <v>67</v>
      </c>
      <c r="C8" s="19">
        <v>0.5</v>
      </c>
      <c r="D8" t="s">
        <v>3</v>
      </c>
      <c r="F8" t="s">
        <v>204</v>
      </c>
      <c r="G8" t="s">
        <v>209</v>
      </c>
      <c r="H8" s="18">
        <v>0.03</v>
      </c>
      <c r="I8" t="s">
        <v>3</v>
      </c>
    </row>
    <row r="9" spans="1:14" x14ac:dyDescent="0.25">
      <c r="F9" t="s">
        <v>205</v>
      </c>
      <c r="G9" t="s">
        <v>210</v>
      </c>
      <c r="H9" s="18">
        <v>6.0000000000000001E-3</v>
      </c>
      <c r="I9" t="s">
        <v>3</v>
      </c>
      <c r="K9" t="s">
        <v>212</v>
      </c>
    </row>
    <row r="10" spans="1:14" x14ac:dyDescent="0.25">
      <c r="A10" t="s">
        <v>83</v>
      </c>
      <c r="B10" t="s">
        <v>84</v>
      </c>
      <c r="C10" s="17">
        <v>0.05</v>
      </c>
      <c r="D10" t="s">
        <v>3</v>
      </c>
      <c r="F10" t="s">
        <v>241</v>
      </c>
      <c r="G10" s="47" t="s">
        <v>242</v>
      </c>
      <c r="H10" s="19">
        <v>1E-3</v>
      </c>
      <c r="I10" t="s">
        <v>3</v>
      </c>
      <c r="K10" t="s">
        <v>213</v>
      </c>
    </row>
    <row r="11" spans="1:14" x14ac:dyDescent="0.25">
      <c r="A11" t="s">
        <v>78</v>
      </c>
      <c r="B11" t="s">
        <v>79</v>
      </c>
      <c r="C11" s="19">
        <v>1.2E-2</v>
      </c>
      <c r="D11" t="s">
        <v>3</v>
      </c>
    </row>
    <row r="12" spans="1:14" x14ac:dyDescent="0.25">
      <c r="F12" t="s">
        <v>102</v>
      </c>
      <c r="G12" t="s">
        <v>86</v>
      </c>
      <c r="H12" s="16">
        <v>5.2940000000000001E-2</v>
      </c>
      <c r="I12" t="s">
        <v>2</v>
      </c>
    </row>
    <row r="13" spans="1:14" s="21" customFormat="1" ht="11.25" customHeight="1" thickBot="1" x14ac:dyDescent="0.3"/>
    <row r="14" spans="1:14" s="4" customFormat="1" ht="11.25" customHeight="1" x14ac:dyDescent="0.25"/>
    <row r="15" spans="1:14" x14ac:dyDescent="0.25">
      <c r="A15" t="s">
        <v>136</v>
      </c>
      <c r="B15" t="s">
        <v>135</v>
      </c>
      <c r="C15">
        <f>C7*C8*C6</f>
        <v>3.0000000000000001E-5</v>
      </c>
      <c r="D15" t="s">
        <v>134</v>
      </c>
      <c r="F15" t="s">
        <v>211</v>
      </c>
      <c r="G15" t="s">
        <v>150</v>
      </c>
      <c r="H15">
        <f>2*PI()*(H8^2-H9^2)*H7</f>
        <v>2.7143360527015815E-5</v>
      </c>
      <c r="I15" t="s">
        <v>134</v>
      </c>
      <c r="K15" t="s">
        <v>170</v>
      </c>
      <c r="L15" t="s">
        <v>37</v>
      </c>
      <c r="M15">
        <f>M6-M4</f>
        <v>4.1500000000000009E-2</v>
      </c>
      <c r="N15" t="s">
        <v>3</v>
      </c>
    </row>
    <row r="16" spans="1:14" x14ac:dyDescent="0.25">
      <c r="K16" t="s">
        <v>171</v>
      </c>
      <c r="L16" t="s">
        <v>39</v>
      </c>
      <c r="M16">
        <f>M7-M4</f>
        <v>-0.45850000000000002</v>
      </c>
      <c r="N16" t="s">
        <v>3</v>
      </c>
    </row>
    <row r="17" spans="1:14" x14ac:dyDescent="0.25">
      <c r="A17" t="s">
        <v>70</v>
      </c>
      <c r="B17" t="s">
        <v>198</v>
      </c>
      <c r="C17">
        <f>C7/2</f>
        <v>1.4999999999999999E-2</v>
      </c>
      <c r="D17" t="s">
        <v>3</v>
      </c>
      <c r="F17" t="s">
        <v>95</v>
      </c>
      <c r="G17" s="3" t="s">
        <v>98</v>
      </c>
      <c r="H17">
        <f>H4/H15</f>
        <v>7898.8008793755462</v>
      </c>
      <c r="I17" t="s">
        <v>74</v>
      </c>
    </row>
    <row r="18" spans="1:14" x14ac:dyDescent="0.25">
      <c r="A18" t="s">
        <v>138</v>
      </c>
      <c r="B18" t="s">
        <v>199</v>
      </c>
      <c r="C18">
        <f>PI()*C17^2*C6</f>
        <v>1.4137166941154069E-6</v>
      </c>
      <c r="D18" t="s">
        <v>134</v>
      </c>
      <c r="F18" t="s">
        <v>96</v>
      </c>
      <c r="G18" s="3" t="s">
        <v>97</v>
      </c>
      <c r="H18">
        <f>H5/H15</f>
        <v>2700.1078192604186</v>
      </c>
      <c r="I18" t="s">
        <v>74</v>
      </c>
    </row>
    <row r="20" spans="1:14" x14ac:dyDescent="0.25">
      <c r="A20" t="s">
        <v>141</v>
      </c>
      <c r="B20" t="s">
        <v>140</v>
      </c>
      <c r="C20">
        <f>11*C11^2*C6</f>
        <v>3.1680000000000004E-6</v>
      </c>
      <c r="D20" t="s">
        <v>134</v>
      </c>
      <c r="F20" t="s">
        <v>109</v>
      </c>
      <c r="G20" t="s">
        <v>243</v>
      </c>
      <c r="H20" s="1">
        <f>1+(1/(((H8^2-H9^2)/(2*H8*H10-H10^2))*(H7/H10)-1))*(1-(2*H8^2+H10^2-2*H8*H10)/(H8^2+H9^2))</f>
        <v>0.98809140545235363</v>
      </c>
      <c r="K20" s="1"/>
    </row>
    <row r="21" spans="1:14" x14ac:dyDescent="0.25">
      <c r="F21" t="s">
        <v>16</v>
      </c>
      <c r="G21" t="s">
        <v>20</v>
      </c>
      <c r="H21" s="1">
        <f>(H4*(H8^2+H9^2)/2)*H20</f>
        <v>9.91443011499648E-5</v>
      </c>
      <c r="I21" t="s">
        <v>13</v>
      </c>
      <c r="K21" t="s">
        <v>85</v>
      </c>
      <c r="L21" t="s">
        <v>1</v>
      </c>
      <c r="M21">
        <f>C4</f>
        <v>0.22620000000000001</v>
      </c>
      <c r="N21" t="s">
        <v>2</v>
      </c>
    </row>
    <row r="22" spans="1:14" x14ac:dyDescent="0.25">
      <c r="A22" t="s">
        <v>195</v>
      </c>
      <c r="B22" t="s">
        <v>143</v>
      </c>
      <c r="C22">
        <f>C15+C18-C20</f>
        <v>2.8245716694115409E-5</v>
      </c>
      <c r="D22" t="s">
        <v>134</v>
      </c>
      <c r="F22" t="s">
        <v>18</v>
      </c>
      <c r="G22" t="s">
        <v>19</v>
      </c>
      <c r="H22" s="1">
        <f>(H5*(H8^2+H9^2)/2)*H20</f>
        <v>3.3891258541422196E-5</v>
      </c>
      <c r="I22" t="s">
        <v>13</v>
      </c>
      <c r="K22" t="s">
        <v>184</v>
      </c>
      <c r="L22" t="s">
        <v>206</v>
      </c>
      <c r="M22">
        <f>H4</f>
        <v>0.21440000000000001</v>
      </c>
      <c r="N22" t="s">
        <v>2</v>
      </c>
    </row>
    <row r="23" spans="1:14" x14ac:dyDescent="0.25">
      <c r="A23" t="s">
        <v>73</v>
      </c>
      <c r="B23" s="10" t="s">
        <v>144</v>
      </c>
      <c r="C23" s="15">
        <f>C4/C22</f>
        <v>8008.2938751249867</v>
      </c>
      <c r="D23" t="s">
        <v>74</v>
      </c>
      <c r="K23" t="s">
        <v>185</v>
      </c>
      <c r="L23" t="s">
        <v>207</v>
      </c>
      <c r="M23">
        <f>H5</f>
        <v>7.3289999999999994E-2</v>
      </c>
      <c r="N23" t="s">
        <v>2</v>
      </c>
    </row>
    <row r="24" spans="1:14" x14ac:dyDescent="0.25">
      <c r="F24" t="s">
        <v>166</v>
      </c>
      <c r="G24" t="s">
        <v>15</v>
      </c>
      <c r="H24" s="1">
        <f>H21+H4*M15^2</f>
        <v>4.6839470114996493E-4</v>
      </c>
      <c r="I24" t="s">
        <v>13</v>
      </c>
      <c r="K24" t="s">
        <v>102</v>
      </c>
      <c r="L24" t="s">
        <v>86</v>
      </c>
      <c r="M24">
        <f>H12</f>
        <v>5.2940000000000001E-2</v>
      </c>
      <c r="N24" t="s">
        <v>2</v>
      </c>
    </row>
    <row r="25" spans="1:14" x14ac:dyDescent="0.25">
      <c r="A25" t="s">
        <v>133</v>
      </c>
      <c r="B25" t="s">
        <v>75</v>
      </c>
      <c r="C25">
        <f>C15*C23</f>
        <v>0.24024881625374961</v>
      </c>
      <c r="D25" t="s">
        <v>2</v>
      </c>
      <c r="F25" t="s">
        <v>167</v>
      </c>
      <c r="G25" t="s">
        <v>21</v>
      </c>
      <c r="H25" s="1">
        <f>H22+H5*M16^2</f>
        <v>1.5441079961041423E-2</v>
      </c>
      <c r="I25" t="s">
        <v>13</v>
      </c>
    </row>
    <row r="26" spans="1:14" x14ac:dyDescent="0.25">
      <c r="A26" t="s">
        <v>100</v>
      </c>
      <c r="B26" t="s">
        <v>77</v>
      </c>
      <c r="C26">
        <f>C18*C23</f>
        <v>1.1321458742646357E-2</v>
      </c>
      <c r="D26" t="s">
        <v>2</v>
      </c>
      <c r="F26" t="s">
        <v>168</v>
      </c>
      <c r="G26" t="s">
        <v>91</v>
      </c>
      <c r="H26" s="1">
        <f>H12*M15^2</f>
        <v>9.1175915000000037E-5</v>
      </c>
      <c r="I26" t="s">
        <v>13</v>
      </c>
      <c r="K26" s="34" t="s">
        <v>103</v>
      </c>
      <c r="L26" s="34" t="s">
        <v>104</v>
      </c>
      <c r="M26" s="35">
        <f>M21+M22+M23+2*M24</f>
        <v>0.61976999999999993</v>
      </c>
      <c r="N26" s="34" t="s">
        <v>2</v>
      </c>
    </row>
    <row r="27" spans="1:14" x14ac:dyDescent="0.25">
      <c r="A27" t="s">
        <v>137</v>
      </c>
      <c r="B27" t="s">
        <v>80</v>
      </c>
      <c r="C27">
        <f>C11^2*C6*C23</f>
        <v>2.3063886360359964E-3</v>
      </c>
      <c r="D27" t="s">
        <v>2</v>
      </c>
      <c r="F27" t="s">
        <v>169</v>
      </c>
      <c r="G27" t="s">
        <v>94</v>
      </c>
      <c r="H27" s="1">
        <f>H12*M16^2</f>
        <v>1.1129165915000001E-2</v>
      </c>
      <c r="I27" t="s">
        <v>13</v>
      </c>
      <c r="M27" s="1"/>
    </row>
    <row r="28" spans="1:14" x14ac:dyDescent="0.25">
      <c r="K28" s="5" t="s">
        <v>246</v>
      </c>
      <c r="L28" s="5" t="s">
        <v>55</v>
      </c>
      <c r="M28" s="40">
        <f>((M22+M24)*M6+(M23+M24)*M7)/M26</f>
        <v>5.6920309146941621E-2</v>
      </c>
      <c r="N28" s="5" t="s">
        <v>3</v>
      </c>
    </row>
    <row r="29" spans="1:14" x14ac:dyDescent="0.25">
      <c r="A29" t="s">
        <v>148</v>
      </c>
      <c r="B29" t="s">
        <v>196</v>
      </c>
      <c r="C29">
        <f>C25*(C8^2+C7^2)/12</f>
        <v>5.0232023331721479E-3</v>
      </c>
      <c r="D29" t="s">
        <v>13</v>
      </c>
      <c r="H29" s="1"/>
    </row>
    <row r="30" spans="1:14" x14ac:dyDescent="0.25">
      <c r="A30" t="s">
        <v>200</v>
      </c>
      <c r="B30" t="s">
        <v>197</v>
      </c>
      <c r="C30">
        <f>C26*(C17^2/2+(C8/2)^2+8*C17*(C8/2)/(3*PI()))</f>
        <v>7.4490215796200738E-4</v>
      </c>
      <c r="D30" t="s">
        <v>13</v>
      </c>
      <c r="H30" s="1"/>
      <c r="K30" s="5" t="s">
        <v>187</v>
      </c>
      <c r="L30" s="5" t="s">
        <v>188</v>
      </c>
      <c r="M30" s="40">
        <f>M4-M28</f>
        <v>0.15157969085305836</v>
      </c>
      <c r="N30" s="5" t="s">
        <v>3</v>
      </c>
    </row>
    <row r="31" spans="1:14" x14ac:dyDescent="0.25">
      <c r="A31" t="s">
        <v>201</v>
      </c>
      <c r="B31" t="s">
        <v>72</v>
      </c>
      <c r="C31">
        <f>C29+C30</f>
        <v>5.7681044911341555E-3</v>
      </c>
      <c r="D31" t="s">
        <v>13</v>
      </c>
      <c r="H31" s="1"/>
    </row>
    <row r="32" spans="1:14" x14ac:dyDescent="0.25">
      <c r="A32" t="s">
        <v>81</v>
      </c>
      <c r="B32" t="s">
        <v>146</v>
      </c>
      <c r="C32">
        <f>C27*(C11^2+C11^2)/12</f>
        <v>5.5353327264863915E-8</v>
      </c>
      <c r="D32" t="s">
        <v>13</v>
      </c>
      <c r="H32" s="1"/>
    </row>
    <row r="33" spans="1:14" x14ac:dyDescent="0.25">
      <c r="A33" t="s">
        <v>82</v>
      </c>
      <c r="B33" t="s">
        <v>147</v>
      </c>
      <c r="C33">
        <f>C32*11+2*C27*C10^2+2*C27*(2*C10)^2+2*C27*(3*C10)^2+2*C27*(4*C10)^2+2*C27*(5*C10)^2</f>
        <v>6.3486576150981254E-4</v>
      </c>
      <c r="D33" t="s">
        <v>13</v>
      </c>
      <c r="H33" s="1"/>
    </row>
    <row r="34" spans="1:14" x14ac:dyDescent="0.25">
      <c r="H34" s="1"/>
      <c r="K34" s="5"/>
      <c r="L34" s="5"/>
      <c r="M34" s="7"/>
      <c r="N34" s="5"/>
    </row>
    <row r="35" spans="1:14" x14ac:dyDescent="0.25">
      <c r="A35" t="s">
        <v>153</v>
      </c>
      <c r="B35" t="s">
        <v>12</v>
      </c>
      <c r="C35">
        <f>C31-C33</f>
        <v>5.1332387296243428E-3</v>
      </c>
      <c r="D35" t="s">
        <v>13</v>
      </c>
    </row>
    <row r="36" spans="1:14" x14ac:dyDescent="0.25">
      <c r="K36" s="49" t="s">
        <v>162</v>
      </c>
      <c r="L36" s="50"/>
      <c r="M36" s="50"/>
      <c r="N36" s="51"/>
    </row>
    <row r="37" spans="1:14" x14ac:dyDescent="0.25">
      <c r="A37" s="8" t="s">
        <v>155</v>
      </c>
      <c r="F37" s="8" t="s">
        <v>154</v>
      </c>
      <c r="K37" s="36" t="s">
        <v>61</v>
      </c>
      <c r="L37" s="4" t="s">
        <v>62</v>
      </c>
      <c r="M37" s="4">
        <v>9.82</v>
      </c>
      <c r="N37" s="37" t="s">
        <v>63</v>
      </c>
    </row>
    <row r="38" spans="1:14" x14ac:dyDescent="0.25">
      <c r="A38" s="5" t="s">
        <v>164</v>
      </c>
      <c r="B38" s="5" t="s">
        <v>12</v>
      </c>
      <c r="C38" s="39">
        <f>C35+C4*M4^2</f>
        <v>1.4966661679624342E-2</v>
      </c>
      <c r="D38" s="5" t="s">
        <v>13</v>
      </c>
      <c r="F38" s="5" t="s">
        <v>165</v>
      </c>
      <c r="G38" s="5" t="s">
        <v>51</v>
      </c>
      <c r="H38" s="39">
        <f>C38+H24+H25+H26+H27</f>
        <v>4.2096478171815735E-2</v>
      </c>
      <c r="I38" s="5" t="s">
        <v>13</v>
      </c>
      <c r="K38" s="38" t="s">
        <v>186</v>
      </c>
      <c r="L38" s="33" t="s">
        <v>59</v>
      </c>
      <c r="M38" s="33">
        <f>2*PI()*SQRT(H38/(M26*M30*M37))</f>
        <v>1.3421814206626497</v>
      </c>
      <c r="N38" s="14" t="s">
        <v>64</v>
      </c>
    </row>
    <row r="65" spans="1:7" x14ac:dyDescent="0.25">
      <c r="C65" s="1"/>
    </row>
    <row r="74" spans="1:7" x14ac:dyDescent="0.25">
      <c r="C74" s="1"/>
    </row>
    <row r="75" spans="1:7" x14ac:dyDescent="0.25">
      <c r="A75" s="5"/>
      <c r="C75" s="1"/>
    </row>
    <row r="76" spans="1:7" x14ac:dyDescent="0.25">
      <c r="C76" s="1"/>
      <c r="E76" s="8"/>
      <c r="G76" s="6"/>
    </row>
    <row r="77" spans="1:7" x14ac:dyDescent="0.25">
      <c r="B77" s="9"/>
    </row>
    <row r="78" spans="1:7" x14ac:dyDescent="0.25">
      <c r="B78" s="9"/>
      <c r="D78" s="6"/>
    </row>
    <row r="87" spans="3:3" x14ac:dyDescent="0.25">
      <c r="C87" s="5"/>
    </row>
    <row r="89" spans="3:3" x14ac:dyDescent="0.25">
      <c r="C89" s="6"/>
    </row>
  </sheetData>
  <mergeCells count="4">
    <mergeCell ref="A3:D3"/>
    <mergeCell ref="F3:I3"/>
    <mergeCell ref="K3:N3"/>
    <mergeCell ref="K36:N3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B1" sqref="B1"/>
    </sheetView>
  </sheetViews>
  <sheetFormatPr defaultRowHeight="15" x14ac:dyDescent="0.25"/>
  <cols>
    <col min="1" max="1" width="39.42578125" customWidth="1"/>
    <col min="3" max="3" width="13" customWidth="1"/>
    <col min="5" max="5" width="3.140625" customWidth="1"/>
    <col min="6" max="6" width="36.42578125" customWidth="1"/>
    <col min="8" max="8" width="12.28515625" customWidth="1"/>
    <col min="10" max="10" width="3" customWidth="1"/>
    <col min="11" max="11" width="33.5703125" customWidth="1"/>
    <col min="13" max="13" width="10.7109375" customWidth="1"/>
  </cols>
  <sheetData>
    <row r="1" spans="1:14" ht="18.75" x14ac:dyDescent="0.3">
      <c r="A1" s="2" t="s">
        <v>156</v>
      </c>
    </row>
    <row r="2" spans="1:14" ht="18.75" x14ac:dyDescent="0.3">
      <c r="A2" s="2"/>
    </row>
    <row r="3" spans="1:14" x14ac:dyDescent="0.25">
      <c r="A3" s="48" t="s">
        <v>159</v>
      </c>
      <c r="B3" s="48"/>
      <c r="C3" s="48"/>
      <c r="D3" s="48"/>
      <c r="F3" s="48" t="s">
        <v>160</v>
      </c>
      <c r="G3" s="48"/>
      <c r="H3" s="48"/>
      <c r="I3" s="48"/>
      <c r="K3" s="48" t="s">
        <v>161</v>
      </c>
      <c r="L3" s="48"/>
      <c r="M3" s="48"/>
      <c r="N3" s="48"/>
    </row>
    <row r="4" spans="1:14" x14ac:dyDescent="0.25">
      <c r="A4" t="s">
        <v>0</v>
      </c>
      <c r="B4" t="s">
        <v>1</v>
      </c>
      <c r="C4" s="16">
        <v>0.22620000000000001</v>
      </c>
      <c r="D4" t="s">
        <v>2</v>
      </c>
      <c r="F4" t="s">
        <v>27</v>
      </c>
      <c r="G4" t="s">
        <v>4</v>
      </c>
      <c r="H4" s="17">
        <v>0.21510000000000001</v>
      </c>
      <c r="I4" t="s">
        <v>2</v>
      </c>
      <c r="K4" t="s">
        <v>11</v>
      </c>
      <c r="L4" t="s">
        <v>10</v>
      </c>
      <c r="M4" s="20">
        <v>0.20849999999999999</v>
      </c>
      <c r="N4" t="s">
        <v>3</v>
      </c>
    </row>
    <row r="5" spans="1:14" x14ac:dyDescent="0.25">
      <c r="F5" t="s">
        <v>28</v>
      </c>
      <c r="G5" t="s">
        <v>5</v>
      </c>
      <c r="H5" s="19">
        <v>7.689E-2</v>
      </c>
      <c r="I5" t="s">
        <v>2</v>
      </c>
    </row>
    <row r="6" spans="1:14" x14ac:dyDescent="0.25">
      <c r="A6" t="s">
        <v>76</v>
      </c>
      <c r="B6" s="3" t="s">
        <v>145</v>
      </c>
      <c r="C6" s="17">
        <v>2E-3</v>
      </c>
      <c r="D6" t="s">
        <v>3</v>
      </c>
      <c r="K6" t="s">
        <v>6</v>
      </c>
      <c r="L6" t="s">
        <v>38</v>
      </c>
      <c r="M6" s="16">
        <v>0.25</v>
      </c>
      <c r="N6" t="s">
        <v>3</v>
      </c>
    </row>
    <row r="7" spans="1:14" x14ac:dyDescent="0.25">
      <c r="A7" t="s">
        <v>68</v>
      </c>
      <c r="B7" t="s">
        <v>69</v>
      </c>
      <c r="C7" s="18">
        <v>0.03</v>
      </c>
      <c r="D7" t="s">
        <v>3</v>
      </c>
      <c r="F7" t="s">
        <v>151</v>
      </c>
      <c r="G7" t="s">
        <v>99</v>
      </c>
      <c r="H7" s="17">
        <v>5.0000000000000001E-3</v>
      </c>
      <c r="I7" t="s">
        <v>3</v>
      </c>
    </row>
    <row r="8" spans="1:14" x14ac:dyDescent="0.25">
      <c r="A8" t="s">
        <v>66</v>
      </c>
      <c r="B8" t="s">
        <v>67</v>
      </c>
      <c r="C8" s="19">
        <v>0.5</v>
      </c>
      <c r="D8" t="s">
        <v>3</v>
      </c>
      <c r="F8" t="s">
        <v>152</v>
      </c>
      <c r="G8" t="s">
        <v>17</v>
      </c>
      <c r="H8" s="18">
        <v>0.03</v>
      </c>
      <c r="I8" t="s">
        <v>3</v>
      </c>
      <c r="K8" t="s">
        <v>9</v>
      </c>
      <c r="L8" t="s">
        <v>7</v>
      </c>
      <c r="M8" s="16">
        <v>0.1061</v>
      </c>
      <c r="N8" t="s">
        <v>3</v>
      </c>
    </row>
    <row r="9" spans="1:14" x14ac:dyDescent="0.25">
      <c r="F9" t="s">
        <v>205</v>
      </c>
      <c r="G9" t="s">
        <v>210</v>
      </c>
      <c r="H9" s="18">
        <v>6.0000000000000001E-3</v>
      </c>
      <c r="I9" t="s">
        <v>3</v>
      </c>
    </row>
    <row r="10" spans="1:14" x14ac:dyDescent="0.25">
      <c r="A10" t="s">
        <v>83</v>
      </c>
      <c r="B10" t="s">
        <v>84</v>
      </c>
      <c r="C10" s="17">
        <v>0.05</v>
      </c>
      <c r="D10" t="s">
        <v>3</v>
      </c>
      <c r="F10" t="s">
        <v>241</v>
      </c>
      <c r="G10" s="47" t="s">
        <v>242</v>
      </c>
      <c r="H10" s="19">
        <v>1E-3</v>
      </c>
      <c r="I10" t="s">
        <v>3</v>
      </c>
      <c r="K10" t="s">
        <v>157</v>
      </c>
    </row>
    <row r="11" spans="1:14" x14ac:dyDescent="0.25">
      <c r="A11" t="s">
        <v>78</v>
      </c>
      <c r="B11" t="s">
        <v>79</v>
      </c>
      <c r="C11" s="19">
        <v>1.2E-2</v>
      </c>
      <c r="D11" t="s">
        <v>3</v>
      </c>
      <c r="K11" t="s">
        <v>158</v>
      </c>
    </row>
    <row r="12" spans="1:14" x14ac:dyDescent="0.25">
      <c r="F12" t="s">
        <v>194</v>
      </c>
      <c r="G12" t="s">
        <v>86</v>
      </c>
      <c r="H12" s="16">
        <v>6.3619999999999996E-2</v>
      </c>
      <c r="I12" t="s">
        <v>2</v>
      </c>
    </row>
    <row r="14" spans="1:14" x14ac:dyDescent="0.25">
      <c r="F14" t="s">
        <v>193</v>
      </c>
      <c r="G14" t="s">
        <v>8</v>
      </c>
      <c r="H14" s="16">
        <v>5.2940000000000001E-2</v>
      </c>
      <c r="I14" t="s">
        <v>2</v>
      </c>
    </row>
    <row r="15" spans="1:14" s="21" customFormat="1" ht="11.25" customHeight="1" thickBot="1" x14ac:dyDescent="0.3"/>
    <row r="16" spans="1:14" s="4" customFormat="1" ht="11.25" customHeight="1" x14ac:dyDescent="0.25"/>
    <row r="17" spans="1:14" x14ac:dyDescent="0.25">
      <c r="A17" t="s">
        <v>136</v>
      </c>
      <c r="B17" t="s">
        <v>135</v>
      </c>
      <c r="C17">
        <f>C7*C8*C6</f>
        <v>3.0000000000000001E-5</v>
      </c>
      <c r="D17" t="s">
        <v>134</v>
      </c>
      <c r="F17" t="s">
        <v>149</v>
      </c>
      <c r="G17" t="s">
        <v>150</v>
      </c>
      <c r="H17">
        <f>2*PI()*(H8^2-H9^2)*H7</f>
        <v>2.7143360527015815E-5</v>
      </c>
      <c r="I17" t="s">
        <v>134</v>
      </c>
      <c r="K17" t="s">
        <v>29</v>
      </c>
      <c r="L17" t="s">
        <v>37</v>
      </c>
      <c r="M17">
        <f>M6-M4</f>
        <v>4.1500000000000009E-2</v>
      </c>
      <c r="N17" t="s">
        <v>3</v>
      </c>
    </row>
    <row r="18" spans="1:14" x14ac:dyDescent="0.25">
      <c r="K18" t="s">
        <v>30</v>
      </c>
      <c r="L18" t="s">
        <v>39</v>
      </c>
      <c r="M18">
        <f>-M6-M4</f>
        <v>-0.45850000000000002</v>
      </c>
      <c r="N18" t="s">
        <v>3</v>
      </c>
    </row>
    <row r="19" spans="1:14" x14ac:dyDescent="0.25">
      <c r="A19" t="s">
        <v>70</v>
      </c>
      <c r="B19" t="s">
        <v>71</v>
      </c>
      <c r="C19">
        <f>C7/2</f>
        <v>1.4999999999999999E-2</v>
      </c>
      <c r="D19" t="s">
        <v>3</v>
      </c>
      <c r="F19" t="s">
        <v>95</v>
      </c>
      <c r="G19" s="3" t="s">
        <v>98</v>
      </c>
      <c r="H19">
        <f>H4/H17</f>
        <v>7924.5898747839556</v>
      </c>
      <c r="I19" t="s">
        <v>74</v>
      </c>
      <c r="K19" t="s">
        <v>31</v>
      </c>
      <c r="L19" t="s">
        <v>40</v>
      </c>
      <c r="M19">
        <f>M18</f>
        <v>-0.45850000000000002</v>
      </c>
      <c r="N19" t="s">
        <v>3</v>
      </c>
    </row>
    <row r="20" spans="1:14" x14ac:dyDescent="0.25">
      <c r="A20" t="s">
        <v>138</v>
      </c>
      <c r="B20" t="s">
        <v>139</v>
      </c>
      <c r="C20">
        <f>PI()*C19^2*C6</f>
        <v>1.4137166941154069E-6</v>
      </c>
      <c r="D20" t="s">
        <v>134</v>
      </c>
      <c r="F20" t="s">
        <v>96</v>
      </c>
      <c r="G20" s="3" t="s">
        <v>97</v>
      </c>
      <c r="H20">
        <f>H5/H17</f>
        <v>2832.736938503665</v>
      </c>
      <c r="I20" t="s">
        <v>74</v>
      </c>
      <c r="K20" t="s">
        <v>32</v>
      </c>
      <c r="L20" t="s">
        <v>41</v>
      </c>
      <c r="M20">
        <f>M17</f>
        <v>4.1500000000000009E-2</v>
      </c>
      <c r="N20" t="s">
        <v>3</v>
      </c>
    </row>
    <row r="21" spans="1:14" x14ac:dyDescent="0.25">
      <c r="K21" t="s">
        <v>33</v>
      </c>
      <c r="L21" t="s">
        <v>42</v>
      </c>
      <c r="M21">
        <f>M8-M4</f>
        <v>-0.10239999999999999</v>
      </c>
      <c r="N21" t="s">
        <v>3</v>
      </c>
    </row>
    <row r="22" spans="1:14" x14ac:dyDescent="0.25">
      <c r="A22" t="s">
        <v>141</v>
      </c>
      <c r="B22" t="s">
        <v>140</v>
      </c>
      <c r="C22">
        <f>11*C11^2*C6</f>
        <v>3.1680000000000004E-6</v>
      </c>
      <c r="D22" t="s">
        <v>134</v>
      </c>
      <c r="F22" t="s">
        <v>109</v>
      </c>
      <c r="G22" t="s">
        <v>243</v>
      </c>
      <c r="H22" s="1">
        <f>1+(1/(((H8^2-H9^2)/(2*H8*H10-H10^2))*(H7/H10)-1))*(1-(2*H8^2+H10^2-2*H8*H10)/(H8^2+H9^2))</f>
        <v>0.98809140545235363</v>
      </c>
      <c r="K22" t="s">
        <v>34</v>
      </c>
      <c r="L22" t="s">
        <v>43</v>
      </c>
      <c r="M22">
        <f>-M8-M4</f>
        <v>-0.31459999999999999</v>
      </c>
      <c r="N22" t="s">
        <v>3</v>
      </c>
    </row>
    <row r="23" spans="1:14" x14ac:dyDescent="0.25">
      <c r="F23" t="s">
        <v>16</v>
      </c>
      <c r="G23" t="s">
        <v>20</v>
      </c>
      <c r="H23" s="1">
        <f>(H4*(H8^2+H9^2)/2)*H22</f>
        <v>9.9467999894391001E-5</v>
      </c>
      <c r="I23" t="s">
        <v>13</v>
      </c>
      <c r="K23" t="s">
        <v>35</v>
      </c>
      <c r="L23" t="s">
        <v>44</v>
      </c>
      <c r="M23">
        <f>M22</f>
        <v>-0.31459999999999999</v>
      </c>
      <c r="N23" t="s">
        <v>3</v>
      </c>
    </row>
    <row r="24" spans="1:14" x14ac:dyDescent="0.25">
      <c r="A24" t="s">
        <v>142</v>
      </c>
      <c r="B24" t="s">
        <v>143</v>
      </c>
      <c r="C24">
        <f>C17+C20-C22</f>
        <v>2.8245716694115409E-5</v>
      </c>
      <c r="D24" t="s">
        <v>134</v>
      </c>
      <c r="F24" t="s">
        <v>18</v>
      </c>
      <c r="G24" t="s">
        <v>19</v>
      </c>
      <c r="H24" s="1">
        <f>(H5*(H8^2+H9^2)/2)*H22</f>
        <v>3.5555994941328328E-5</v>
      </c>
      <c r="I24" t="s">
        <v>13</v>
      </c>
      <c r="K24" t="s">
        <v>36</v>
      </c>
      <c r="L24" t="s">
        <v>45</v>
      </c>
      <c r="M24">
        <f>M21</f>
        <v>-0.10239999999999999</v>
      </c>
      <c r="N24" t="s">
        <v>3</v>
      </c>
    </row>
    <row r="25" spans="1:14" x14ac:dyDescent="0.25">
      <c r="A25" t="s">
        <v>73</v>
      </c>
      <c r="B25" s="10" t="s">
        <v>144</v>
      </c>
      <c r="C25" s="15">
        <f>C4/C24</f>
        <v>8008.2938751249867</v>
      </c>
      <c r="D25" t="s">
        <v>74</v>
      </c>
      <c r="F25" t="s">
        <v>14</v>
      </c>
      <c r="G25" t="s">
        <v>15</v>
      </c>
      <c r="H25" s="1">
        <f>H23+H4*M17^2</f>
        <v>4.6992397489439115E-4</v>
      </c>
      <c r="I25" t="s">
        <v>13</v>
      </c>
    </row>
    <row r="26" spans="1:14" x14ac:dyDescent="0.25">
      <c r="F26" t="s">
        <v>22</v>
      </c>
      <c r="G26" t="s">
        <v>21</v>
      </c>
      <c r="H26" s="1">
        <f>H24+H5*M18^2</f>
        <v>1.6199544797441328E-2</v>
      </c>
      <c r="I26" t="s">
        <v>13</v>
      </c>
      <c r="K26" t="s">
        <v>85</v>
      </c>
      <c r="L26" t="s">
        <v>1</v>
      </c>
      <c r="M26">
        <f>C4</f>
        <v>0.22620000000000001</v>
      </c>
      <c r="N26" t="s">
        <v>2</v>
      </c>
    </row>
    <row r="27" spans="1:14" x14ac:dyDescent="0.25">
      <c r="A27" t="s">
        <v>133</v>
      </c>
      <c r="B27" t="s">
        <v>75</v>
      </c>
      <c r="C27">
        <f>C17*C25</f>
        <v>0.24024881625374961</v>
      </c>
      <c r="D27" t="s">
        <v>2</v>
      </c>
      <c r="F27" t="s">
        <v>23</v>
      </c>
      <c r="G27" t="s">
        <v>25</v>
      </c>
      <c r="H27" s="1">
        <f>H23+H4*M19^2</f>
        <v>4.5318273974894401E-2</v>
      </c>
      <c r="I27" t="s">
        <v>13</v>
      </c>
      <c r="K27" t="s">
        <v>27</v>
      </c>
      <c r="L27" t="s">
        <v>4</v>
      </c>
      <c r="M27">
        <f>H4</f>
        <v>0.21510000000000001</v>
      </c>
      <c r="N27" t="s">
        <v>2</v>
      </c>
    </row>
    <row r="28" spans="1:14" x14ac:dyDescent="0.25">
      <c r="A28" t="s">
        <v>100</v>
      </c>
      <c r="B28" t="s">
        <v>77</v>
      </c>
      <c r="C28">
        <f>C20*C25</f>
        <v>1.1321458742646357E-2</v>
      </c>
      <c r="D28" t="s">
        <v>2</v>
      </c>
      <c r="F28" t="s">
        <v>24</v>
      </c>
      <c r="G28" t="s">
        <v>26</v>
      </c>
      <c r="H28" s="1">
        <f>H24+H5*M20^2</f>
        <v>1.6797979744132837E-4</v>
      </c>
      <c r="I28" t="s">
        <v>13</v>
      </c>
      <c r="K28" t="s">
        <v>28</v>
      </c>
      <c r="L28" t="s">
        <v>5</v>
      </c>
      <c r="M28">
        <f>H5</f>
        <v>7.689E-2</v>
      </c>
      <c r="N28" t="s">
        <v>2</v>
      </c>
    </row>
    <row r="29" spans="1:14" x14ac:dyDescent="0.25">
      <c r="A29" t="s">
        <v>137</v>
      </c>
      <c r="B29" t="s">
        <v>80</v>
      </c>
      <c r="C29">
        <f>C11^2*C6*C25</f>
        <v>2.3063886360359964E-3</v>
      </c>
      <c r="D29" t="s">
        <v>2</v>
      </c>
      <c r="F29" t="s">
        <v>87</v>
      </c>
      <c r="G29" t="s">
        <v>91</v>
      </c>
      <c r="H29" s="1">
        <f>H12*M17^2</f>
        <v>1.0956954500000004E-4</v>
      </c>
      <c r="I29" t="s">
        <v>13</v>
      </c>
      <c r="K29" t="s">
        <v>102</v>
      </c>
      <c r="L29" t="s">
        <v>86</v>
      </c>
      <c r="M29">
        <f>H12</f>
        <v>6.3619999999999996E-2</v>
      </c>
      <c r="N29" t="s">
        <v>2</v>
      </c>
    </row>
    <row r="30" spans="1:14" x14ac:dyDescent="0.25">
      <c r="F30" t="s">
        <v>88</v>
      </c>
      <c r="G30" t="s">
        <v>94</v>
      </c>
      <c r="H30" s="1">
        <f>H12*M18^2</f>
        <v>1.3374339545000001E-2</v>
      </c>
      <c r="I30" t="s">
        <v>13</v>
      </c>
      <c r="K30" t="s">
        <v>101</v>
      </c>
      <c r="L30" t="s">
        <v>8</v>
      </c>
      <c r="M30">
        <f>H14</f>
        <v>5.2940000000000001E-2</v>
      </c>
      <c r="N30" t="s">
        <v>2</v>
      </c>
    </row>
    <row r="31" spans="1:14" x14ac:dyDescent="0.25">
      <c r="A31" t="s">
        <v>148</v>
      </c>
      <c r="B31" t="s">
        <v>196</v>
      </c>
      <c r="C31">
        <f>C27*(C8^2+C7^2)/12</f>
        <v>5.0232023331721479E-3</v>
      </c>
      <c r="D31" t="s">
        <v>13</v>
      </c>
      <c r="F31" t="s">
        <v>89</v>
      </c>
      <c r="G31" t="s">
        <v>92</v>
      </c>
      <c r="H31" s="1">
        <f>H12*M19^2</f>
        <v>1.3374339545000001E-2</v>
      </c>
      <c r="I31" t="s">
        <v>13</v>
      </c>
      <c r="K31" s="34" t="s">
        <v>245</v>
      </c>
      <c r="L31" s="34" t="s">
        <v>104</v>
      </c>
      <c r="M31" s="35">
        <f>M26+M27+M28+2*M29+2*M30</f>
        <v>0.75131000000000003</v>
      </c>
      <c r="N31" s="34" t="s">
        <v>2</v>
      </c>
    </row>
    <row r="32" spans="1:14" x14ac:dyDescent="0.25">
      <c r="A32" t="s">
        <v>200</v>
      </c>
      <c r="B32" t="s">
        <v>197</v>
      </c>
      <c r="C32">
        <f>C28*(C19^2/2+(C8/2)^2+8*C19*(C8/2)/(3*PI()))</f>
        <v>7.4490215796200738E-4</v>
      </c>
      <c r="D32" t="s">
        <v>13</v>
      </c>
      <c r="F32" t="s">
        <v>90</v>
      </c>
      <c r="G32" t="s">
        <v>93</v>
      </c>
      <c r="H32" s="1">
        <f>H12*M20^2</f>
        <v>1.0956954500000004E-4</v>
      </c>
      <c r="I32" t="s">
        <v>13</v>
      </c>
      <c r="M32" s="1"/>
    </row>
    <row r="33" spans="1:14" x14ac:dyDescent="0.25">
      <c r="A33" t="s">
        <v>201</v>
      </c>
      <c r="B33" t="s">
        <v>72</v>
      </c>
      <c r="C33">
        <f>C31+C32</f>
        <v>5.7681044911341555E-3</v>
      </c>
      <c r="D33" t="s">
        <v>13</v>
      </c>
      <c r="F33" t="s">
        <v>46</v>
      </c>
      <c r="G33" t="s">
        <v>189</v>
      </c>
      <c r="H33" s="1">
        <f>H14*M21^2</f>
        <v>5.5511613439999995E-4</v>
      </c>
      <c r="I33" t="s">
        <v>13</v>
      </c>
      <c r="K33" s="5" t="s">
        <v>56</v>
      </c>
      <c r="L33" s="5" t="s">
        <v>55</v>
      </c>
      <c r="M33" s="40">
        <f>(H4*M6-H5*M6)/M31</f>
        <v>4.5989671374000077E-2</v>
      </c>
      <c r="N33" s="5" t="s">
        <v>3</v>
      </c>
    </row>
    <row r="34" spans="1:14" x14ac:dyDescent="0.25">
      <c r="A34" t="s">
        <v>81</v>
      </c>
      <c r="B34" t="s">
        <v>146</v>
      </c>
      <c r="C34">
        <f>C29*(C11^2+C11^2)/12</f>
        <v>5.5353327264863915E-8</v>
      </c>
      <c r="D34" t="s">
        <v>13</v>
      </c>
      <c r="F34" t="s">
        <v>47</v>
      </c>
      <c r="G34" t="s">
        <v>190</v>
      </c>
      <c r="H34" s="1">
        <f>H14*M22^2</f>
        <v>5.2396390903999999E-3</v>
      </c>
      <c r="I34" t="s">
        <v>13</v>
      </c>
    </row>
    <row r="35" spans="1:14" x14ac:dyDescent="0.25">
      <c r="A35" t="s">
        <v>82</v>
      </c>
      <c r="B35" t="s">
        <v>147</v>
      </c>
      <c r="C35">
        <f>C34*11+2*C29*C10^2+2*C29*(2*C10)^2+2*C29*(3*C10)^2+2*C29*(4*C10)^2+2*C29*(5*C10)^2</f>
        <v>6.3486576150981254E-4</v>
      </c>
      <c r="D35" t="s">
        <v>13</v>
      </c>
      <c r="F35" t="s">
        <v>48</v>
      </c>
      <c r="G35" t="s">
        <v>191</v>
      </c>
      <c r="H35" s="1">
        <f>H14*M23^2</f>
        <v>5.2396390903999999E-3</v>
      </c>
      <c r="I35" t="s">
        <v>13</v>
      </c>
      <c r="K35" s="5" t="s">
        <v>105</v>
      </c>
      <c r="L35" s="5" t="s">
        <v>106</v>
      </c>
      <c r="M35" s="43">
        <f>M4-M33</f>
        <v>0.1625103286259999</v>
      </c>
      <c r="N35" s="5" t="s">
        <v>3</v>
      </c>
    </row>
    <row r="36" spans="1:14" x14ac:dyDescent="0.25">
      <c r="F36" t="s">
        <v>49</v>
      </c>
      <c r="G36" t="s">
        <v>192</v>
      </c>
      <c r="H36" s="1">
        <f>H14*M24^2</f>
        <v>5.5511613439999995E-4</v>
      </c>
      <c r="I36" t="s">
        <v>13</v>
      </c>
      <c r="K36" s="5" t="s">
        <v>107</v>
      </c>
      <c r="L36" s="5" t="s">
        <v>108</v>
      </c>
      <c r="M36" s="42">
        <f>M4+M33</f>
        <v>0.25448967137400008</v>
      </c>
      <c r="N36" s="5" t="s">
        <v>3</v>
      </c>
    </row>
    <row r="37" spans="1:14" x14ac:dyDescent="0.25">
      <c r="A37" t="s">
        <v>153</v>
      </c>
      <c r="B37" t="s">
        <v>12</v>
      </c>
      <c r="C37">
        <f>C33-C35</f>
        <v>5.1332387296243428E-3</v>
      </c>
      <c r="D37" t="s">
        <v>13</v>
      </c>
      <c r="M37" s="1"/>
    </row>
    <row r="38" spans="1:14" x14ac:dyDescent="0.25">
      <c r="K38" s="49" t="s">
        <v>162</v>
      </c>
      <c r="L38" s="50"/>
      <c r="M38" s="50"/>
      <c r="N38" s="51"/>
    </row>
    <row r="39" spans="1:14" x14ac:dyDescent="0.25">
      <c r="F39" s="8" t="s">
        <v>154</v>
      </c>
      <c r="K39" s="36" t="s">
        <v>61</v>
      </c>
      <c r="L39" s="4" t="s">
        <v>62</v>
      </c>
      <c r="M39" s="4">
        <v>9.82</v>
      </c>
      <c r="N39" s="37" t="s">
        <v>63</v>
      </c>
    </row>
    <row r="40" spans="1:14" x14ac:dyDescent="0.25">
      <c r="A40" s="8" t="s">
        <v>155</v>
      </c>
      <c r="F40" s="5" t="s">
        <v>50</v>
      </c>
      <c r="G40" s="5" t="s">
        <v>51</v>
      </c>
      <c r="H40" s="41">
        <f>C41+H25+H26+H29+H30+H33+H34</f>
        <v>5.0914794766760064E-2</v>
      </c>
      <c r="I40" s="5" t="s">
        <v>13</v>
      </c>
      <c r="K40" s="36" t="s">
        <v>57</v>
      </c>
      <c r="L40" s="4" t="s">
        <v>59</v>
      </c>
      <c r="M40" s="4">
        <f>2*PI()*SQRT(H40/(M35*M31*M39))</f>
        <v>1.2947802142713871</v>
      </c>
      <c r="N40" s="37" t="s">
        <v>64</v>
      </c>
    </row>
    <row r="41" spans="1:14" x14ac:dyDescent="0.25">
      <c r="A41" s="5" t="s">
        <v>52</v>
      </c>
      <c r="B41" s="5" t="s">
        <v>12</v>
      </c>
      <c r="C41" s="39">
        <f>C37+C4*M4^2</f>
        <v>1.4966661679624342E-2</v>
      </c>
      <c r="D41" s="5" t="s">
        <v>13</v>
      </c>
      <c r="F41" s="5" t="s">
        <v>53</v>
      </c>
      <c r="G41" s="5" t="s">
        <v>54</v>
      </c>
      <c r="H41" s="42">
        <f>C41+H27+H28+H31+H32+H35+H36</f>
        <v>7.9731579766760055E-2</v>
      </c>
      <c r="I41" s="5" t="s">
        <v>13</v>
      </c>
      <c r="K41" s="38" t="s">
        <v>58</v>
      </c>
      <c r="L41" s="33" t="s">
        <v>60</v>
      </c>
      <c r="M41" s="33">
        <f>2*PI()*SQRT(H41/(M36*M31*M39))</f>
        <v>1.2947760094205194</v>
      </c>
      <c r="N41" s="14" t="s">
        <v>64</v>
      </c>
    </row>
    <row r="67" spans="1:7" x14ac:dyDescent="0.25">
      <c r="C67" s="1"/>
    </row>
    <row r="76" spans="1:7" x14ac:dyDescent="0.25">
      <c r="C76" s="1"/>
    </row>
    <row r="77" spans="1:7" x14ac:dyDescent="0.25">
      <c r="A77" s="5"/>
      <c r="C77" s="1"/>
    </row>
    <row r="78" spans="1:7" x14ac:dyDescent="0.25">
      <c r="C78" s="1"/>
      <c r="E78" s="8"/>
      <c r="G78" s="6"/>
    </row>
    <row r="79" spans="1:7" x14ac:dyDescent="0.25">
      <c r="B79" s="9"/>
    </row>
    <row r="80" spans="1:7" x14ac:dyDescent="0.25">
      <c r="B80" s="9"/>
      <c r="D80" s="6"/>
    </row>
    <row r="89" spans="3:3" x14ac:dyDescent="0.25">
      <c r="C89" s="5"/>
    </row>
    <row r="91" spans="3:3" x14ac:dyDescent="0.25">
      <c r="C91" s="6"/>
    </row>
  </sheetData>
  <mergeCells count="4">
    <mergeCell ref="A3:D3"/>
    <mergeCell ref="F3:I3"/>
    <mergeCell ref="K3:N3"/>
    <mergeCell ref="K38:N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" sqref="D1"/>
    </sheetView>
  </sheetViews>
  <sheetFormatPr defaultRowHeight="15" x14ac:dyDescent="0.25"/>
  <cols>
    <col min="1" max="1" width="25" style="11" customWidth="1"/>
    <col min="2" max="2" width="6.5703125" customWidth="1"/>
    <col min="3" max="3" width="12" customWidth="1"/>
  </cols>
  <sheetData>
    <row r="1" spans="1:5" ht="21" x14ac:dyDescent="0.35">
      <c r="A1" s="29" t="s">
        <v>132</v>
      </c>
    </row>
    <row r="3" spans="1:5" ht="15.75" x14ac:dyDescent="0.25">
      <c r="A3" s="28" t="s">
        <v>126</v>
      </c>
      <c r="B3" s="4"/>
      <c r="C3" s="4"/>
      <c r="D3" s="4"/>
      <c r="E3" s="4"/>
    </row>
    <row r="4" spans="1:5" x14ac:dyDescent="0.25">
      <c r="A4" s="11" t="s">
        <v>127</v>
      </c>
      <c r="B4" s="22" t="s">
        <v>110</v>
      </c>
      <c r="C4" s="27">
        <v>55.814430999999999</v>
      </c>
      <c r="D4" s="23" t="s">
        <v>112</v>
      </c>
      <c r="E4" s="4"/>
    </row>
    <row r="5" spans="1:5" x14ac:dyDescent="0.25">
      <c r="A5" s="11" t="s">
        <v>128</v>
      </c>
      <c r="B5" s="24" t="s">
        <v>111</v>
      </c>
      <c r="C5" s="19">
        <v>40</v>
      </c>
      <c r="D5" s="4" t="s">
        <v>3</v>
      </c>
      <c r="E5" s="4"/>
    </row>
    <row r="6" spans="1:5" x14ac:dyDescent="0.25">
      <c r="B6" s="4"/>
      <c r="C6" s="4"/>
      <c r="D6" s="4"/>
      <c r="E6" s="4"/>
    </row>
    <row r="7" spans="1:5" ht="15.75" x14ac:dyDescent="0.25">
      <c r="A7" s="28" t="s">
        <v>129</v>
      </c>
      <c r="B7" s="4"/>
      <c r="C7" s="4"/>
      <c r="D7" s="4"/>
      <c r="E7" s="4"/>
    </row>
    <row r="8" spans="1:5" ht="17.25" x14ac:dyDescent="0.25">
      <c r="A8" s="11" t="s">
        <v>130</v>
      </c>
      <c r="B8" s="25" t="s">
        <v>122</v>
      </c>
      <c r="C8" s="45">
        <f>C14+C15*(SIN(C4*PI()/180)^2)+C16*(SIN(C4*PI()/180)^2)+C21*C5</f>
        <v>9.8157354068885105</v>
      </c>
      <c r="D8" s="26" t="s">
        <v>123</v>
      </c>
      <c r="E8" s="4"/>
    </row>
    <row r="9" spans="1:5" s="33" customFormat="1" ht="11.25" customHeight="1" x14ac:dyDescent="0.25">
      <c r="A9" s="30"/>
      <c r="B9" s="31"/>
      <c r="D9" s="32"/>
    </row>
    <row r="10" spans="1:5" ht="11.25" customHeight="1" x14ac:dyDescent="0.25">
      <c r="B10" s="24"/>
      <c r="C10" s="4"/>
      <c r="D10" s="4"/>
      <c r="E10" s="4"/>
    </row>
    <row r="11" spans="1:5" ht="15.75" x14ac:dyDescent="0.25">
      <c r="A11" s="28" t="s">
        <v>131</v>
      </c>
      <c r="B11" s="24"/>
      <c r="C11" s="4"/>
      <c r="D11" s="4"/>
      <c r="E11" s="4"/>
    </row>
    <row r="12" spans="1:5" ht="17.25" x14ac:dyDescent="0.25">
      <c r="A12" s="11" t="s">
        <v>172</v>
      </c>
      <c r="B12" s="12" t="s">
        <v>115</v>
      </c>
      <c r="C12">
        <v>2670</v>
      </c>
      <c r="D12" t="s">
        <v>116</v>
      </c>
    </row>
    <row r="13" spans="1:5" x14ac:dyDescent="0.25">
      <c r="B13" s="11"/>
    </row>
    <row r="14" spans="1:5" ht="17.25" x14ac:dyDescent="0.25">
      <c r="A14" s="11" t="s">
        <v>177</v>
      </c>
      <c r="B14" s="11" t="s">
        <v>113</v>
      </c>
      <c r="C14">
        <v>9.7803269999999998</v>
      </c>
      <c r="D14" s="26" t="s">
        <v>123</v>
      </c>
    </row>
    <row r="15" spans="1:5" ht="17.25" x14ac:dyDescent="0.25">
      <c r="A15" s="11" t="s">
        <v>178</v>
      </c>
      <c r="B15" s="11" t="s">
        <v>114</v>
      </c>
      <c r="C15">
        <v>5.1632299999999999E-2</v>
      </c>
      <c r="D15" s="26" t="s">
        <v>123</v>
      </c>
    </row>
    <row r="16" spans="1:5" ht="17.25" x14ac:dyDescent="0.25">
      <c r="A16" s="11" t="s">
        <v>179</v>
      </c>
      <c r="B16" s="11" t="s">
        <v>117</v>
      </c>
      <c r="C16">
        <v>2.2690000000000001E-4</v>
      </c>
      <c r="D16" s="26" t="s">
        <v>123</v>
      </c>
    </row>
    <row r="17" spans="1:4" x14ac:dyDescent="0.25">
      <c r="B17" s="11"/>
    </row>
    <row r="18" spans="1:4" ht="17.25" x14ac:dyDescent="0.25">
      <c r="A18" s="11" t="s">
        <v>173</v>
      </c>
      <c r="B18" s="11" t="s">
        <v>118</v>
      </c>
      <c r="C18" s="13">
        <v>-3.0860000000000002E-6</v>
      </c>
      <c r="D18" t="s">
        <v>124</v>
      </c>
    </row>
    <row r="19" spans="1:4" ht="17.25" x14ac:dyDescent="0.25">
      <c r="A19" s="11" t="s">
        <v>175</v>
      </c>
      <c r="B19" s="11" t="s">
        <v>119</v>
      </c>
      <c r="C19" s="13">
        <v>4.1929999999999999E-10</v>
      </c>
      <c r="D19" t="s">
        <v>125</v>
      </c>
    </row>
    <row r="20" spans="1:4" ht="17.25" x14ac:dyDescent="0.25">
      <c r="A20" s="11" t="s">
        <v>174</v>
      </c>
      <c r="B20" s="11" t="s">
        <v>120</v>
      </c>
      <c r="C20" s="13">
        <f>C12*C19</f>
        <v>1.119531E-6</v>
      </c>
      <c r="D20" t="s">
        <v>124</v>
      </c>
    </row>
    <row r="21" spans="1:4" ht="17.25" x14ac:dyDescent="0.25">
      <c r="A21" s="11" t="s">
        <v>176</v>
      </c>
      <c r="B21" s="11" t="s">
        <v>121</v>
      </c>
      <c r="C21" s="13">
        <f>C18+C20</f>
        <v>-1.9664689999999999E-6</v>
      </c>
      <c r="D21" t="s">
        <v>124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Indhold</vt:lpstr>
      <vt:lpstr>Fysisk pendul</vt:lpstr>
      <vt:lpstr>Bessel-pendul</vt:lpstr>
      <vt:lpstr>Geoide-formlen</vt:lpstr>
    </vt:vector>
  </TitlesOfParts>
  <Company>Frederiksen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Henning Schou</cp:lastModifiedBy>
  <dcterms:created xsi:type="dcterms:W3CDTF">2012-12-05T14:08:50Z</dcterms:created>
  <dcterms:modified xsi:type="dcterms:W3CDTF">2016-08-15T08:10:54Z</dcterms:modified>
</cp:coreProperties>
</file>